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202\Desktop\"/>
    </mc:Choice>
  </mc:AlternateContent>
  <bookViews>
    <workbookView xWindow="0" yWindow="0" windowWidth="28800" windowHeight="11880" tabRatio="882" activeTab="4"/>
  </bookViews>
  <sheets>
    <sheet name="OPD" sheetId="1" r:id="rId1"/>
    <sheet name="IPD ADMISSION" sheetId="2" r:id="rId2"/>
    <sheet name="OCCUPANCY" sheetId="3" r:id="rId3"/>
    <sheet name="OPERATIVE RECORD" sheetId="4" r:id="rId4"/>
    <sheet name="Delivery Report" sheetId="10" r:id="rId5"/>
  </sheets>
  <definedNames>
    <definedName name="_xlnm.Print_Area" localSheetId="4">'Delivery Report'!$A$2:$E$10</definedName>
    <definedName name="_xlnm.Print_Area" localSheetId="1">'IPD ADMISSION'!$A$1:$O$11</definedName>
    <definedName name="_xlnm.Print_Area" localSheetId="2">OCCUPANCY!$A$1:$O$10</definedName>
    <definedName name="_xlnm.Print_Area" localSheetId="0">OPD!#REF!</definedName>
    <definedName name="_xlnm.Print_Area" localSheetId="3">'OPERATIVE RECORD'!$A$1:$V$10</definedName>
  </definedNames>
  <calcPr calcId="162913"/>
</workbook>
</file>

<file path=xl/calcChain.xml><?xml version="1.0" encoding="utf-8"?>
<calcChain xmlns="http://schemas.openxmlformats.org/spreadsheetml/2006/main">
  <c r="E8" i="3" l="1"/>
  <c r="D8" i="3"/>
  <c r="B8" i="3"/>
  <c r="F9" i="2"/>
  <c r="E9" i="2"/>
  <c r="D9" i="2"/>
  <c r="B9" i="2"/>
  <c r="K9" i="1"/>
  <c r="I9" i="1"/>
  <c r="B9" i="1"/>
  <c r="O9" i="1" s="1"/>
  <c r="P9" i="1" s="1"/>
  <c r="E9" i="1"/>
  <c r="H9" i="1"/>
  <c r="D9" i="1"/>
  <c r="D10" i="1" s="1"/>
  <c r="D11" i="1" s="1"/>
  <c r="F9" i="1"/>
  <c r="F10" i="1" s="1"/>
  <c r="F11" i="1" s="1"/>
  <c r="L11" i="1"/>
  <c r="M11" i="1"/>
  <c r="N11" i="1"/>
  <c r="B7" i="3"/>
  <c r="B8" i="2"/>
  <c r="N8" i="2" s="1"/>
  <c r="O8" i="2" s="1"/>
  <c r="G8" i="1"/>
  <c r="H8" i="1"/>
  <c r="I8" i="1"/>
  <c r="I10" i="1" s="1"/>
  <c r="I11" i="1" s="1"/>
  <c r="J8" i="1"/>
  <c r="E8" i="1"/>
  <c r="K8" i="1"/>
  <c r="D8" i="1"/>
  <c r="B8" i="1"/>
  <c r="O8" i="1" s="1"/>
  <c r="P8" i="1" s="1"/>
  <c r="F8" i="1"/>
  <c r="E7" i="3"/>
  <c r="D7" i="3"/>
  <c r="E8" i="2"/>
  <c r="D8" i="2"/>
  <c r="E6" i="3"/>
  <c r="D6" i="3"/>
  <c r="B6" i="3"/>
  <c r="M6" i="3" s="1"/>
  <c r="N6" i="3" s="1"/>
  <c r="E7" i="2"/>
  <c r="D7" i="2"/>
  <c r="B7" i="2"/>
  <c r="N7" i="2" s="1"/>
  <c r="O7" i="2" s="1"/>
  <c r="K7" i="1"/>
  <c r="I7" i="1"/>
  <c r="B7" i="1"/>
  <c r="E7" i="1"/>
  <c r="H7" i="1"/>
  <c r="D7" i="1"/>
  <c r="F7" i="1"/>
  <c r="B5" i="3"/>
  <c r="B6" i="2"/>
  <c r="K6" i="1"/>
  <c r="D6" i="1"/>
  <c r="B6" i="1"/>
  <c r="I6" i="1"/>
  <c r="E6" i="1"/>
  <c r="H6" i="1"/>
  <c r="E5" i="3"/>
  <c r="D5" i="3"/>
  <c r="E6" i="2"/>
  <c r="D6" i="2"/>
  <c r="F5" i="1"/>
  <c r="E5" i="1"/>
  <c r="E10" i="1" s="1"/>
  <c r="E11" i="1" s="1"/>
  <c r="G5" i="1"/>
  <c r="B4" i="3"/>
  <c r="M4" i="3" s="1"/>
  <c r="B5" i="2"/>
  <c r="K5" i="1"/>
  <c r="K10" i="1" s="1"/>
  <c r="K11" i="1" s="1"/>
  <c r="D5" i="1"/>
  <c r="B5" i="1"/>
  <c r="E4" i="3"/>
  <c r="D4" i="3"/>
  <c r="E5" i="2"/>
  <c r="D5" i="2"/>
  <c r="J5" i="1"/>
  <c r="J10" i="1" s="1"/>
  <c r="J11" i="1" s="1"/>
  <c r="I5" i="1"/>
  <c r="H5" i="1"/>
  <c r="D5" i="10"/>
  <c r="E5" i="10" s="1"/>
  <c r="D6" i="10"/>
  <c r="E6" i="10"/>
  <c r="D7" i="10"/>
  <c r="E7" i="10"/>
  <c r="D8" i="10"/>
  <c r="E8" i="10" s="1"/>
  <c r="D9" i="10"/>
  <c r="E9" i="10" s="1"/>
  <c r="B10" i="10"/>
  <c r="C10" i="10"/>
  <c r="S5" i="4"/>
  <c r="T5" i="4"/>
  <c r="U5" i="4"/>
  <c r="V5" i="4" s="1"/>
  <c r="S6" i="4"/>
  <c r="U6" i="4"/>
  <c r="V6" i="4" s="1"/>
  <c r="S7" i="4"/>
  <c r="T7" i="4" s="1"/>
  <c r="U7" i="4"/>
  <c r="V7" i="4" s="1"/>
  <c r="S8" i="4"/>
  <c r="T8" i="4" s="1"/>
  <c r="U8" i="4"/>
  <c r="V8" i="4" s="1"/>
  <c r="S9" i="4"/>
  <c r="U9" i="4"/>
  <c r="V9" i="4" s="1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J9" i="3"/>
  <c r="J10" i="3"/>
  <c r="M8" i="3"/>
  <c r="N8" i="3" s="1"/>
  <c r="H9" i="3"/>
  <c r="H10" i="3"/>
  <c r="C9" i="3"/>
  <c r="C10" i="3" s="1"/>
  <c r="F9" i="3"/>
  <c r="F10" i="3"/>
  <c r="G9" i="3"/>
  <c r="G10" i="3"/>
  <c r="I9" i="3"/>
  <c r="I10" i="3"/>
  <c r="K9" i="3"/>
  <c r="K10" i="3"/>
  <c r="L9" i="3"/>
  <c r="L10" i="3" s="1"/>
  <c r="N9" i="2"/>
  <c r="O9" i="2"/>
  <c r="C10" i="2"/>
  <c r="C11" i="2" s="1"/>
  <c r="F10" i="2"/>
  <c r="F11" i="2"/>
  <c r="G10" i="2"/>
  <c r="G11" i="2" s="1"/>
  <c r="H10" i="2"/>
  <c r="H11" i="2" s="1"/>
  <c r="I10" i="2"/>
  <c r="I11" i="2" s="1"/>
  <c r="J10" i="2"/>
  <c r="J11" i="2" s="1"/>
  <c r="K10" i="2"/>
  <c r="K11" i="2" s="1"/>
  <c r="L10" i="2"/>
  <c r="L11" i="2" s="1"/>
  <c r="M10" i="2"/>
  <c r="M11" i="2" s="1"/>
  <c r="O6" i="1"/>
  <c r="P6" i="1"/>
  <c r="O7" i="1"/>
  <c r="P7" i="1" s="1"/>
  <c r="C10" i="1"/>
  <c r="C11" i="1" s="1"/>
  <c r="G10" i="1"/>
  <c r="G11" i="1"/>
  <c r="H10" i="1"/>
  <c r="H11" i="1" s="1"/>
  <c r="L10" i="1"/>
  <c r="M10" i="1"/>
  <c r="N10" i="1"/>
  <c r="O5" i="1"/>
  <c r="P5" i="1" s="1"/>
  <c r="T6" i="4"/>
  <c r="D10" i="10" l="1"/>
  <c r="E10" i="10" s="1"/>
  <c r="S10" i="4"/>
  <c r="T9" i="4"/>
  <c r="T10" i="4"/>
  <c r="U10" i="4"/>
  <c r="M7" i="3"/>
  <c r="N7" i="3" s="1"/>
  <c r="M5" i="3"/>
  <c r="N5" i="3" s="1"/>
  <c r="E9" i="3"/>
  <c r="E10" i="3" s="1"/>
  <c r="M9" i="3"/>
  <c r="N4" i="3"/>
  <c r="D9" i="3"/>
  <c r="D10" i="3" s="1"/>
  <c r="B9" i="3"/>
  <c r="B10" i="3" s="1"/>
  <c r="N5" i="2"/>
  <c r="E10" i="2"/>
  <c r="E11" i="2" s="1"/>
  <c r="N6" i="2"/>
  <c r="O6" i="2" s="1"/>
  <c r="D10" i="2"/>
  <c r="D11" i="2" s="1"/>
  <c r="O5" i="2"/>
  <c r="B10" i="2"/>
  <c r="B11" i="2" s="1"/>
  <c r="B10" i="1"/>
  <c r="B11" i="1" s="1"/>
  <c r="O10" i="1"/>
  <c r="O11" i="1"/>
  <c r="P10" i="1"/>
  <c r="V10" i="4" l="1"/>
  <c r="M10" i="3"/>
  <c r="N9" i="3"/>
  <c r="N10" i="2"/>
  <c r="O10" i="2"/>
  <c r="N11" i="2"/>
</calcChain>
</file>

<file path=xl/sharedStrings.xml><?xml version="1.0" encoding="utf-8"?>
<sst xmlns="http://schemas.openxmlformats.org/spreadsheetml/2006/main" count="126" uniqueCount="47">
  <si>
    <t>PARUL SEVASHRAM HOSPITAL</t>
  </si>
  <si>
    <t>MONTH</t>
  </si>
  <si>
    <t>MEDICINE</t>
  </si>
  <si>
    <t>SURGERY</t>
  </si>
  <si>
    <t>PAEDIATRICS</t>
  </si>
  <si>
    <t>ORTHOPEDICS</t>
  </si>
  <si>
    <t>ENT</t>
  </si>
  <si>
    <t>SKIN</t>
  </si>
  <si>
    <t>TOTAL</t>
  </si>
  <si>
    <t>FEBRUARY</t>
  </si>
  <si>
    <t>MARCH</t>
  </si>
  <si>
    <t>APRIL</t>
  </si>
  <si>
    <t>JANUARY</t>
  </si>
  <si>
    <t>MAY</t>
  </si>
  <si>
    <t>MAJOR</t>
  </si>
  <si>
    <t>MINOR</t>
  </si>
  <si>
    <t xml:space="preserve">OPHTHALMOLOGY </t>
  </si>
  <si>
    <t>TOTAL Per Month</t>
  </si>
  <si>
    <t>Av.Per Day</t>
  </si>
  <si>
    <t>TOTAL Operation Major</t>
  </si>
  <si>
    <t>TOTAL Operation Minor</t>
  </si>
  <si>
    <t>Av.Operation Major Per Day</t>
  </si>
  <si>
    <t>Av.Operation Minor Per Day</t>
  </si>
  <si>
    <t>NORMAL 
DELIVERY</t>
  </si>
  <si>
    <t>LSCS</t>
  </si>
  <si>
    <t>Av. Per Day</t>
  </si>
  <si>
    <t>PSYCHIATRY</t>
  </si>
  <si>
    <t>AVERAGE PER DAY</t>
  </si>
  <si>
    <t>AVERAGE    PER DAY</t>
  </si>
  <si>
    <t>AVERAGE   PER DAY</t>
  </si>
  <si>
    <t xml:space="preserve">GYNAEC
</t>
  </si>
  <si>
    <t>OPHTHALMOLOGY</t>
  </si>
  <si>
    <t>DENTISTRY</t>
  </si>
  <si>
    <t>RESPIRATORY</t>
  </si>
  <si>
    <t>OBST</t>
  </si>
  <si>
    <t xml:space="preserve">GYNAEC </t>
  </si>
  <si>
    <t>GYNAEC</t>
  </si>
  <si>
    <t>GYNAEC/OBST</t>
  </si>
  <si>
    <t>General Medicine</t>
  </si>
  <si>
    <t>Emergency Medicine</t>
  </si>
  <si>
    <t>EMERGENCY MEDICINE</t>
  </si>
  <si>
    <t>Cardiac</t>
  </si>
  <si>
    <t>OPD RECORD - 01/01/2025 TO 31/05/2025</t>
  </si>
  <si>
    <t>IPD(ADMISSIONS) RECORD - 01/01/2025 TO 31/05/2025</t>
  </si>
  <si>
    <t>OCCUPANCY RECORD - 01/01/2025 TO 31/05/2025</t>
  </si>
  <si>
    <t>DELIVERY RECORD - 01/01/2025 TO 31/05/2025</t>
  </si>
  <si>
    <t>OPERATIVE RECORD - 01/01/2025 TO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</si>
</sst>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6" formatCode="0.0"/>
    <numFmt numFmtId="187" formatCode="0_);\(0\)"/>
  </numFmts>
  <fonts count="6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rgb="FF00B0F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 applyAlignme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187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187" fontId="3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/>
    <xf numFmtId="2" fontId="2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2" fontId="3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6" fontId="3" fillId="0" borderId="0" xfId="0" applyNumberFormat="1" applyFont="1" applyBorder="1"/>
    <xf numFmtId="2" fontId="3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selection activeCell="D15" sqref="D15"/>
    </sheetView>
  </sheetViews>
  <sheetFormatPr defaultRowHeight="20.25" customHeight="1" x14ac:dyDescent="0.25"/>
  <cols>
    <col min="1" max="1" width="17.28515625" style="2" bestFit="1" customWidth="1"/>
    <col min="2" max="2" width="10" style="2" bestFit="1" customWidth="1"/>
    <col min="3" max="3" width="11.7109375" style="2" bestFit="1" customWidth="1"/>
    <col min="4" max="4" width="11.85546875" style="2" bestFit="1" customWidth="1"/>
    <col min="5" max="5" width="10.42578125" style="2" bestFit="1" customWidth="1"/>
    <col min="6" max="6" width="7.42578125" style="2" bestFit="1" customWidth="1"/>
    <col min="7" max="7" width="16.42578125" style="2" bestFit="1" customWidth="1"/>
    <col min="8" max="8" width="17.7109375" style="2" bestFit="1" customWidth="1"/>
    <col min="9" max="9" width="7.42578125" style="2" bestFit="1" customWidth="1"/>
    <col min="10" max="10" width="22.5703125" style="2" bestFit="1" customWidth="1"/>
    <col min="11" max="11" width="7.42578125" style="2" bestFit="1" customWidth="1"/>
    <col min="12" max="12" width="17.42578125" style="2" bestFit="1" customWidth="1"/>
    <col min="13" max="13" width="15.42578125" style="2" bestFit="1" customWidth="1"/>
    <col min="14" max="14" width="14.140625" style="2" bestFit="1" customWidth="1"/>
    <col min="15" max="15" width="19.7109375" style="2" bestFit="1" customWidth="1"/>
    <col min="16" max="16" width="12.140625" style="2" bestFit="1" customWidth="1"/>
    <col min="17" max="256" width="17.140625" style="2" customWidth="1"/>
    <col min="257" max="16384" width="9.140625" style="2"/>
  </cols>
  <sheetData>
    <row r="1" spans="1:17" ht="27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"/>
    </row>
    <row r="2" spans="1:17" ht="27" customHeight="1" x14ac:dyDescent="0.25">
      <c r="A2" s="16" t="s">
        <v>42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"/>
    </row>
    <row r="3" spans="1:17" ht="36" customHeight="1" x14ac:dyDescent="0.25">
      <c r="A3" s="17" t="s">
        <v>1</v>
      </c>
      <c r="B3" s="17" t="s">
        <v>2</v>
      </c>
      <c r="C3" s="17"/>
      <c r="D3" s="17" t="s">
        <v>3</v>
      </c>
      <c r="E3" s="17" t="s">
        <v>35</v>
      </c>
      <c r="F3" s="17" t="s">
        <v>34</v>
      </c>
      <c r="G3" s="17" t="s">
        <v>4</v>
      </c>
      <c r="H3" s="17" t="s">
        <v>5</v>
      </c>
      <c r="I3" s="17" t="s">
        <v>6</v>
      </c>
      <c r="J3" s="17" t="s">
        <v>31</v>
      </c>
      <c r="K3" s="17" t="s">
        <v>7</v>
      </c>
      <c r="L3" s="17" t="s">
        <v>33</v>
      </c>
      <c r="M3" s="17" t="s">
        <v>26</v>
      </c>
      <c r="N3" s="17" t="s">
        <v>32</v>
      </c>
      <c r="O3" s="17" t="s">
        <v>17</v>
      </c>
      <c r="P3" s="17" t="s">
        <v>18</v>
      </c>
    </row>
    <row r="4" spans="1:17" ht="36" customHeight="1" x14ac:dyDescent="0.25">
      <c r="A4" s="17"/>
      <c r="B4" s="14" t="s">
        <v>38</v>
      </c>
      <c r="C4" s="14" t="s">
        <v>39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7" ht="42" customHeight="1" x14ac:dyDescent="0.25">
      <c r="A5" s="3" t="s">
        <v>12</v>
      </c>
      <c r="B5" s="4">
        <f>8108+242+239+29+188</f>
        <v>8806</v>
      </c>
      <c r="C5" s="4">
        <v>4497</v>
      </c>
      <c r="D5" s="4">
        <f>5533+28+18+11</f>
        <v>5590</v>
      </c>
      <c r="E5" s="4">
        <f>2033+14+36+630</f>
        <v>2713</v>
      </c>
      <c r="F5" s="4">
        <f>2089+630</f>
        <v>2719</v>
      </c>
      <c r="G5" s="4">
        <f>4075+10</f>
        <v>4085</v>
      </c>
      <c r="H5" s="4">
        <f>3853+28+27</f>
        <v>3908</v>
      </c>
      <c r="I5" s="4">
        <f>2078+17+14</f>
        <v>2109</v>
      </c>
      <c r="J5" s="4">
        <f>2527+2</f>
        <v>2529</v>
      </c>
      <c r="K5" s="4">
        <f>2912+46+27+31</f>
        <v>3016</v>
      </c>
      <c r="L5" s="4">
        <v>1926</v>
      </c>
      <c r="M5" s="4">
        <v>1844</v>
      </c>
      <c r="N5" s="4">
        <v>1089</v>
      </c>
      <c r="O5" s="5">
        <f>SUM(B5:N5)</f>
        <v>44831</v>
      </c>
      <c r="P5" s="6">
        <f>O5/26</f>
        <v>1724.2692307692307</v>
      </c>
    </row>
    <row r="6" spans="1:17" ht="42" customHeight="1" x14ac:dyDescent="0.25">
      <c r="A6" s="7" t="s">
        <v>9</v>
      </c>
      <c r="B6" s="4">
        <f>8360+221+33+231+166</f>
        <v>9011</v>
      </c>
      <c r="C6" s="4">
        <v>4516</v>
      </c>
      <c r="D6" s="4">
        <f>5746+33+25+6</f>
        <v>5810</v>
      </c>
      <c r="E6" s="4">
        <f>2113+137+13</f>
        <v>2263</v>
      </c>
      <c r="F6" s="4">
        <v>2051</v>
      </c>
      <c r="G6" s="4">
        <v>4036</v>
      </c>
      <c r="H6" s="4">
        <f>3595+35+23</f>
        <v>3653</v>
      </c>
      <c r="I6" s="4">
        <f>2549+22+12</f>
        <v>2583</v>
      </c>
      <c r="J6" s="4">
        <v>2976</v>
      </c>
      <c r="K6" s="4">
        <f>2632+29+28+14</f>
        <v>2703</v>
      </c>
      <c r="L6" s="4">
        <v>1700</v>
      </c>
      <c r="M6" s="4">
        <v>1652</v>
      </c>
      <c r="N6" s="4">
        <v>1906</v>
      </c>
      <c r="O6" s="5">
        <f t="shared" ref="O6:O9" si="0">SUM(B6:N6)</f>
        <v>44860</v>
      </c>
      <c r="P6" s="6">
        <f>O6/24</f>
        <v>1869.1666666666667</v>
      </c>
    </row>
    <row r="7" spans="1:17" ht="42" customHeight="1" x14ac:dyDescent="0.25">
      <c r="A7" s="7" t="s">
        <v>10</v>
      </c>
      <c r="B7" s="4">
        <f>8732+343+12+195+315+40</f>
        <v>9637</v>
      </c>
      <c r="C7" s="4">
        <v>4949</v>
      </c>
      <c r="D7" s="4">
        <f>5739+30+6+27</f>
        <v>5802</v>
      </c>
      <c r="E7" s="4">
        <f>2167+170</f>
        <v>2337</v>
      </c>
      <c r="F7" s="4">
        <f>2194+21</f>
        <v>2215</v>
      </c>
      <c r="G7" s="4">
        <v>4022</v>
      </c>
      <c r="H7" s="4">
        <f>3648+37+38</f>
        <v>3723</v>
      </c>
      <c r="I7" s="4">
        <f>2409+20+13</f>
        <v>2442</v>
      </c>
      <c r="J7" s="4">
        <v>2485</v>
      </c>
      <c r="K7" s="4">
        <f>2677+37+17+45</f>
        <v>2776</v>
      </c>
      <c r="L7" s="4">
        <v>1730</v>
      </c>
      <c r="M7" s="4">
        <v>1715</v>
      </c>
      <c r="N7" s="4">
        <v>1119</v>
      </c>
      <c r="O7" s="5">
        <f t="shared" si="0"/>
        <v>44952</v>
      </c>
      <c r="P7" s="6">
        <f>O7/25</f>
        <v>1798.08</v>
      </c>
    </row>
    <row r="8" spans="1:17" ht="42" customHeight="1" x14ac:dyDescent="0.25">
      <c r="A8" s="7" t="s">
        <v>11</v>
      </c>
      <c r="B8" s="4">
        <f>8978+283+291+43+157</f>
        <v>9752</v>
      </c>
      <c r="C8" s="4">
        <v>4920</v>
      </c>
      <c r="D8" s="4">
        <f>6111+23+31+22</f>
        <v>6187</v>
      </c>
      <c r="E8" s="4">
        <f>2325+125+3</f>
        <v>2453</v>
      </c>
      <c r="F8" s="4">
        <f>2366+12</f>
        <v>2378</v>
      </c>
      <c r="G8" s="4">
        <f>4142+9+2</f>
        <v>4153</v>
      </c>
      <c r="H8" s="4">
        <f>4115+39+52+18</f>
        <v>4224</v>
      </c>
      <c r="I8" s="4">
        <f>2410+13+25+10</f>
        <v>2458</v>
      </c>
      <c r="J8" s="4">
        <f>2492+14</f>
        <v>2506</v>
      </c>
      <c r="K8" s="4">
        <f>2799+35+31+34</f>
        <v>2899</v>
      </c>
      <c r="L8" s="4">
        <v>1955</v>
      </c>
      <c r="M8" s="4">
        <v>1873</v>
      </c>
      <c r="N8" s="4">
        <v>803</v>
      </c>
      <c r="O8" s="5">
        <f t="shared" si="0"/>
        <v>46561</v>
      </c>
      <c r="P8" s="6">
        <f>O8/26</f>
        <v>1790.8076923076924</v>
      </c>
    </row>
    <row r="9" spans="1:17" ht="42" customHeight="1" x14ac:dyDescent="0.25">
      <c r="A9" s="7" t="s">
        <v>13</v>
      </c>
      <c r="B9" s="4">
        <f>8914+353+27+121+236+38</f>
        <v>9689</v>
      </c>
      <c r="C9" s="4">
        <v>5088</v>
      </c>
      <c r="D9" s="4">
        <f>6544+49+15+20</f>
        <v>6628</v>
      </c>
      <c r="E9" s="4">
        <f>2437+227</f>
        <v>2664</v>
      </c>
      <c r="F9" s="4">
        <f>2530+17</f>
        <v>2547</v>
      </c>
      <c r="G9" s="4">
        <v>4520</v>
      </c>
      <c r="H9" s="4">
        <f>4271+57+19</f>
        <v>4347</v>
      </c>
      <c r="I9" s="4">
        <f>2484+19+15</f>
        <v>2518</v>
      </c>
      <c r="J9" s="4">
        <v>2546</v>
      </c>
      <c r="K9" s="4">
        <f>2935+54+23+30</f>
        <v>3042</v>
      </c>
      <c r="L9" s="4">
        <v>1972</v>
      </c>
      <c r="M9" s="4">
        <v>1969</v>
      </c>
      <c r="N9" s="4">
        <v>684</v>
      </c>
      <c r="O9" s="5">
        <f t="shared" si="0"/>
        <v>48214</v>
      </c>
      <c r="P9" s="6">
        <f>O9/27</f>
        <v>1785.7037037037037</v>
      </c>
    </row>
    <row r="10" spans="1:17" ht="42" customHeight="1" x14ac:dyDescent="0.25">
      <c r="A10" s="7" t="s">
        <v>8</v>
      </c>
      <c r="B10" s="10">
        <f>SUM(B5:B9)</f>
        <v>46895</v>
      </c>
      <c r="C10" s="10">
        <f>SUM(C5:C9)</f>
        <v>23970</v>
      </c>
      <c r="D10" s="10">
        <f>SUM(D5:D9)</f>
        <v>30017</v>
      </c>
      <c r="E10" s="10">
        <f>SUM(E5:E9)</f>
        <v>12430</v>
      </c>
      <c r="F10" s="10">
        <f>SUM(F5:F9)</f>
        <v>11910</v>
      </c>
      <c r="G10" s="10">
        <f>SUM(G5:G9)</f>
        <v>20816</v>
      </c>
      <c r="H10" s="10">
        <f>SUM(H5:H9)</f>
        <v>19855</v>
      </c>
      <c r="I10" s="10">
        <f>SUM(I5:I9)</f>
        <v>12110</v>
      </c>
      <c r="J10" s="10">
        <f>SUM(J5:J9)</f>
        <v>13042</v>
      </c>
      <c r="K10" s="10">
        <f>SUM(K5:K9)</f>
        <v>14436</v>
      </c>
      <c r="L10" s="10">
        <f>SUM(L5:L9)</f>
        <v>9283</v>
      </c>
      <c r="M10" s="10">
        <f>SUM(M5:M9)</f>
        <v>9053</v>
      </c>
      <c r="N10" s="10">
        <f>SUM(N5:N9)</f>
        <v>5601</v>
      </c>
      <c r="O10" s="10">
        <f>SUM(O5:O9)</f>
        <v>229418</v>
      </c>
      <c r="P10" s="18">
        <f>O10/128</f>
        <v>1792.328125</v>
      </c>
    </row>
    <row r="11" spans="1:17" ht="42" customHeight="1" x14ac:dyDescent="0.25">
      <c r="A11" s="8" t="s">
        <v>27</v>
      </c>
      <c r="B11" s="6">
        <f>B10/128</f>
        <v>366.3671875</v>
      </c>
      <c r="C11" s="6">
        <f>C10/151</f>
        <v>158.74172185430464</v>
      </c>
      <c r="D11" s="6">
        <f t="shared" ref="D11:O11" si="1">D10/128</f>
        <v>234.5078125</v>
      </c>
      <c r="E11" s="6">
        <f t="shared" si="1"/>
        <v>97.109375</v>
      </c>
      <c r="F11" s="6">
        <f t="shared" si="1"/>
        <v>93.046875</v>
      </c>
      <c r="G11" s="6">
        <f t="shared" si="1"/>
        <v>162.625</v>
      </c>
      <c r="H11" s="6">
        <f t="shared" si="1"/>
        <v>155.1171875</v>
      </c>
      <c r="I11" s="6">
        <f t="shared" si="1"/>
        <v>94.609375</v>
      </c>
      <c r="J11" s="6">
        <f t="shared" si="1"/>
        <v>101.890625</v>
      </c>
      <c r="K11" s="6">
        <f t="shared" si="1"/>
        <v>112.78125</v>
      </c>
      <c r="L11" s="6">
        <f t="shared" si="1"/>
        <v>72.5234375</v>
      </c>
      <c r="M11" s="6">
        <f t="shared" si="1"/>
        <v>70.7265625</v>
      </c>
      <c r="N11" s="6">
        <f t="shared" si="1"/>
        <v>43.7578125</v>
      </c>
      <c r="O11" s="6">
        <f t="shared" si="1"/>
        <v>1792.328125</v>
      </c>
      <c r="P11" s="18"/>
    </row>
    <row r="13" spans="1:17" ht="20.25" customHeight="1" x14ac:dyDescent="0.25">
      <c r="B13" s="11"/>
      <c r="C13" s="11"/>
      <c r="D13" s="12"/>
    </row>
    <row r="14" spans="1:17" ht="20.25" customHeight="1" x14ac:dyDescent="0.25">
      <c r="C14" s="11"/>
      <c r="O14" s="13"/>
      <c r="P14" s="13"/>
    </row>
    <row r="15" spans="1:17" ht="20.25" customHeight="1" x14ac:dyDescent="0.25">
      <c r="C15" s="11"/>
      <c r="H15" s="11"/>
      <c r="O15" s="13"/>
      <c r="P15" s="13"/>
    </row>
  </sheetData>
  <mergeCells count="18">
    <mergeCell ref="A1:P1"/>
    <mergeCell ref="A2:P2"/>
    <mergeCell ref="B3:C3"/>
    <mergeCell ref="D3:D4"/>
    <mergeCell ref="E3:E4"/>
    <mergeCell ref="F3:F4"/>
    <mergeCell ref="G3:G4"/>
    <mergeCell ref="H3:H4"/>
    <mergeCell ref="O3:O4"/>
    <mergeCell ref="P3:P4"/>
    <mergeCell ref="P10:P11"/>
    <mergeCell ref="N3:N4"/>
    <mergeCell ref="A3:A4"/>
    <mergeCell ref="I3:I4"/>
    <mergeCell ref="J3:J4"/>
    <mergeCell ref="K3:K4"/>
    <mergeCell ref="L3:L4"/>
    <mergeCell ref="M3:M4"/>
  </mergeCells>
  <phoneticPr fontId="1" type="noConversion"/>
  <printOptions horizontalCentered="1"/>
  <pageMargins left="0.19685039370078741" right="0.15748031496062992" top="0.59055118110236227" bottom="0.19685039370078741" header="0.51181102362204722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Normal="100" workbookViewId="0">
      <selection activeCell="D14" sqref="D14"/>
    </sheetView>
  </sheetViews>
  <sheetFormatPr defaultRowHeight="15.75" x14ac:dyDescent="0.25"/>
  <cols>
    <col min="1" max="1" width="13.42578125" style="21" bestFit="1" customWidth="1"/>
    <col min="2" max="3" width="13.28515625" style="2" customWidth="1"/>
    <col min="4" max="4" width="11.85546875" style="2" bestFit="1" customWidth="1"/>
    <col min="5" max="5" width="10.42578125" style="2" bestFit="1" customWidth="1"/>
    <col min="6" max="6" width="7" style="2" bestFit="1" customWidth="1"/>
    <col min="7" max="7" width="16.42578125" style="2" bestFit="1" customWidth="1"/>
    <col min="8" max="8" width="17.7109375" style="2" bestFit="1" customWidth="1"/>
    <col min="9" max="9" width="5.5703125" style="2" bestFit="1" customWidth="1"/>
    <col min="10" max="10" width="22.5703125" style="2" bestFit="1" customWidth="1"/>
    <col min="11" max="11" width="6.5703125" style="2" bestFit="1" customWidth="1"/>
    <col min="12" max="12" width="17.42578125" style="2" bestFit="1" customWidth="1"/>
    <col min="13" max="13" width="15.42578125" style="2" bestFit="1" customWidth="1"/>
    <col min="14" max="14" width="19.7109375" style="2" bestFit="1" customWidth="1"/>
    <col min="15" max="15" width="12.140625" style="2" bestFit="1" customWidth="1"/>
    <col min="16" max="256" width="9.5703125" style="2" customWidth="1"/>
    <col min="257" max="16384" width="9.140625" style="2"/>
  </cols>
  <sheetData>
    <row r="1" spans="1:19" ht="36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9"/>
      <c r="Q1" s="19"/>
      <c r="R1" s="19"/>
      <c r="S1" s="19"/>
    </row>
    <row r="2" spans="1:19" ht="36" customHeight="1" x14ac:dyDescent="0.25">
      <c r="A2" s="16" t="s">
        <v>43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9"/>
      <c r="Q2" s="19"/>
      <c r="R2" s="19"/>
      <c r="S2" s="19"/>
    </row>
    <row r="3" spans="1:19" x14ac:dyDescent="0.25">
      <c r="A3" s="16" t="s">
        <v>1</v>
      </c>
      <c r="B3" s="17" t="s">
        <v>2</v>
      </c>
      <c r="C3" s="17"/>
      <c r="D3" s="17" t="s">
        <v>3</v>
      </c>
      <c r="E3" s="17" t="s">
        <v>36</v>
      </c>
      <c r="F3" s="17" t="s">
        <v>34</v>
      </c>
      <c r="G3" s="17" t="s">
        <v>4</v>
      </c>
      <c r="H3" s="17" t="s">
        <v>5</v>
      </c>
      <c r="I3" s="17" t="s">
        <v>6</v>
      </c>
      <c r="J3" s="17" t="s">
        <v>31</v>
      </c>
      <c r="K3" s="17" t="s">
        <v>7</v>
      </c>
      <c r="L3" s="17" t="s">
        <v>33</v>
      </c>
      <c r="M3" s="17" t="s">
        <v>26</v>
      </c>
      <c r="N3" s="17" t="s">
        <v>17</v>
      </c>
      <c r="O3" s="17" t="s">
        <v>18</v>
      </c>
      <c r="P3" s="13"/>
      <c r="Q3" s="13"/>
      <c r="R3" s="13"/>
    </row>
    <row r="4" spans="1:19" ht="31.5" x14ac:dyDescent="0.25">
      <c r="A4" s="16"/>
      <c r="B4" s="14" t="s">
        <v>38</v>
      </c>
      <c r="C4" s="14" t="s">
        <v>39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3"/>
      <c r="Q4" s="13"/>
      <c r="R4" s="13"/>
    </row>
    <row r="5" spans="1:19" ht="44.25" customHeight="1" x14ac:dyDescent="0.25">
      <c r="A5" s="7" t="s">
        <v>12</v>
      </c>
      <c r="B5" s="9">
        <f>2325+9+7+26</f>
        <v>2367</v>
      </c>
      <c r="C5" s="9">
        <v>1156</v>
      </c>
      <c r="D5" s="9">
        <f>721+1</f>
        <v>722</v>
      </c>
      <c r="E5" s="9">
        <f>337+2</f>
        <v>339</v>
      </c>
      <c r="F5" s="9">
        <v>235</v>
      </c>
      <c r="G5" s="9">
        <v>420</v>
      </c>
      <c r="H5" s="9">
        <v>337</v>
      </c>
      <c r="I5" s="9">
        <v>293</v>
      </c>
      <c r="J5" s="9">
        <v>230</v>
      </c>
      <c r="K5" s="9">
        <v>55</v>
      </c>
      <c r="L5" s="9">
        <v>81</v>
      </c>
      <c r="M5" s="20">
        <v>51</v>
      </c>
      <c r="N5" s="5">
        <f>SUM(B5:M5)</f>
        <v>6286</v>
      </c>
      <c r="O5" s="6">
        <f>N5/31</f>
        <v>202.7741935483871</v>
      </c>
    </row>
    <row r="6" spans="1:19" ht="44.25" customHeight="1" x14ac:dyDescent="0.25">
      <c r="A6" s="3" t="s">
        <v>9</v>
      </c>
      <c r="B6" s="9">
        <f>2131+11+10+17</f>
        <v>2169</v>
      </c>
      <c r="C6" s="9">
        <v>1010</v>
      </c>
      <c r="D6" s="9">
        <f>683+3</f>
        <v>686</v>
      </c>
      <c r="E6" s="9">
        <f>302+1</f>
        <v>303</v>
      </c>
      <c r="F6" s="9">
        <v>206</v>
      </c>
      <c r="G6" s="9">
        <v>380</v>
      </c>
      <c r="H6" s="9">
        <v>343</v>
      </c>
      <c r="I6" s="9">
        <v>238</v>
      </c>
      <c r="J6" s="9">
        <v>208</v>
      </c>
      <c r="K6" s="9">
        <v>67</v>
      </c>
      <c r="L6" s="9">
        <v>82</v>
      </c>
      <c r="M6" s="20">
        <v>50</v>
      </c>
      <c r="N6" s="5">
        <f t="shared" ref="N6:N9" si="0">SUM(B6:M6)</f>
        <v>5742</v>
      </c>
      <c r="O6" s="6">
        <f>N6/28</f>
        <v>205.07142857142858</v>
      </c>
    </row>
    <row r="7" spans="1:19" ht="44.25" customHeight="1" x14ac:dyDescent="0.25">
      <c r="A7" s="3" t="s">
        <v>10</v>
      </c>
      <c r="B7" s="9">
        <f>2271+12+1+17</f>
        <v>2301</v>
      </c>
      <c r="C7" s="9">
        <v>1083</v>
      </c>
      <c r="D7" s="9">
        <f>765+2</f>
        <v>767</v>
      </c>
      <c r="E7" s="9">
        <f>314+1</f>
        <v>315</v>
      </c>
      <c r="F7" s="9">
        <v>342</v>
      </c>
      <c r="G7" s="9">
        <v>443</v>
      </c>
      <c r="H7" s="9">
        <v>399</v>
      </c>
      <c r="I7" s="9">
        <v>238</v>
      </c>
      <c r="J7" s="9">
        <v>228</v>
      </c>
      <c r="K7" s="9">
        <v>39</v>
      </c>
      <c r="L7" s="9">
        <v>88</v>
      </c>
      <c r="M7" s="20">
        <v>51</v>
      </c>
      <c r="N7" s="5">
        <f t="shared" si="0"/>
        <v>6294</v>
      </c>
      <c r="O7" s="6">
        <f>N7/31</f>
        <v>203.03225806451613</v>
      </c>
    </row>
    <row r="8" spans="1:19" ht="44.25" customHeight="1" x14ac:dyDescent="0.25">
      <c r="A8" s="3" t="s">
        <v>11</v>
      </c>
      <c r="B8" s="9">
        <f>2385+12+1+12</f>
        <v>2410</v>
      </c>
      <c r="C8" s="9">
        <v>1130</v>
      </c>
      <c r="D8" s="9">
        <f>804+1</f>
        <v>805</v>
      </c>
      <c r="E8" s="9">
        <f>331+4</f>
        <v>335</v>
      </c>
      <c r="F8" s="9">
        <v>329</v>
      </c>
      <c r="G8" s="9">
        <v>421</v>
      </c>
      <c r="H8" s="9">
        <v>359</v>
      </c>
      <c r="I8" s="9">
        <v>262</v>
      </c>
      <c r="J8" s="9">
        <v>220</v>
      </c>
      <c r="K8" s="9">
        <v>46</v>
      </c>
      <c r="L8" s="9">
        <v>74</v>
      </c>
      <c r="M8" s="20">
        <v>46</v>
      </c>
      <c r="N8" s="5">
        <f>SUM(B8:M8)</f>
        <v>6437</v>
      </c>
      <c r="O8" s="6">
        <f>N8/30</f>
        <v>214.56666666666666</v>
      </c>
    </row>
    <row r="9" spans="1:19" ht="44.25" customHeight="1" x14ac:dyDescent="0.25">
      <c r="A9" s="3" t="s">
        <v>13</v>
      </c>
      <c r="B9" s="9">
        <f>2551+10+5+11</f>
        <v>2577</v>
      </c>
      <c r="C9" s="9">
        <v>1245</v>
      </c>
      <c r="D9" s="9">
        <f>797+2</f>
        <v>799</v>
      </c>
      <c r="E9" s="9">
        <f>335</f>
        <v>335</v>
      </c>
      <c r="F9" s="9">
        <f>284+4</f>
        <v>288</v>
      </c>
      <c r="G9" s="9">
        <v>442</v>
      </c>
      <c r="H9" s="9">
        <v>350</v>
      </c>
      <c r="I9" s="9">
        <v>302</v>
      </c>
      <c r="J9" s="9">
        <v>234</v>
      </c>
      <c r="K9" s="9">
        <v>46</v>
      </c>
      <c r="L9" s="9">
        <v>78</v>
      </c>
      <c r="M9" s="20">
        <v>43</v>
      </c>
      <c r="N9" s="5">
        <f t="shared" si="0"/>
        <v>6739</v>
      </c>
      <c r="O9" s="6">
        <f>N9/31</f>
        <v>217.38709677419354</v>
      </c>
    </row>
    <row r="10" spans="1:19" ht="44.25" customHeight="1" x14ac:dyDescent="0.25">
      <c r="A10" s="3" t="s">
        <v>8</v>
      </c>
      <c r="B10" s="5">
        <f>SUM(B5:B9)</f>
        <v>11824</v>
      </c>
      <c r="C10" s="5">
        <f>SUM(C5:C9)</f>
        <v>5624</v>
      </c>
      <c r="D10" s="5">
        <f>SUM(D5:D9)</f>
        <v>3779</v>
      </c>
      <c r="E10" s="5">
        <f>SUM(E5:E9)</f>
        <v>1627</v>
      </c>
      <c r="F10" s="5">
        <f>SUM(F5:F9)</f>
        <v>1400</v>
      </c>
      <c r="G10" s="5">
        <f>SUM(G5:G9)</f>
        <v>2106</v>
      </c>
      <c r="H10" s="5">
        <f>SUM(H5:H9)</f>
        <v>1788</v>
      </c>
      <c r="I10" s="5">
        <f>SUM(I5:I9)</f>
        <v>1333</v>
      </c>
      <c r="J10" s="5">
        <f>SUM(J5:J9)</f>
        <v>1120</v>
      </c>
      <c r="K10" s="5">
        <f>SUM(K5:K9)</f>
        <v>253</v>
      </c>
      <c r="L10" s="5">
        <f>SUM(L5:L9)</f>
        <v>403</v>
      </c>
      <c r="M10" s="5">
        <f>SUM(M5:M9)</f>
        <v>241</v>
      </c>
      <c r="N10" s="5">
        <f>SUM(N5:N9)</f>
        <v>31498</v>
      </c>
      <c r="O10" s="22">
        <f>N10/151</f>
        <v>208.59602649006624</v>
      </c>
    </row>
    <row r="11" spans="1:19" ht="44.25" customHeight="1" x14ac:dyDescent="0.25">
      <c r="A11" s="7" t="s">
        <v>28</v>
      </c>
      <c r="B11" s="6">
        <f>B10/151</f>
        <v>78.30463576158941</v>
      </c>
      <c r="C11" s="6">
        <f t="shared" ref="C11:N11" si="1">C10/151</f>
        <v>37.245033112582782</v>
      </c>
      <c r="D11" s="6">
        <f t="shared" si="1"/>
        <v>25.026490066225165</v>
      </c>
      <c r="E11" s="6">
        <f t="shared" si="1"/>
        <v>10.774834437086092</v>
      </c>
      <c r="F11" s="6">
        <f t="shared" si="1"/>
        <v>9.2715231788079464</v>
      </c>
      <c r="G11" s="6">
        <f t="shared" si="1"/>
        <v>13.947019867549669</v>
      </c>
      <c r="H11" s="6">
        <f t="shared" si="1"/>
        <v>11.841059602649006</v>
      </c>
      <c r="I11" s="6">
        <f t="shared" si="1"/>
        <v>8.8278145695364234</v>
      </c>
      <c r="J11" s="6">
        <f t="shared" si="1"/>
        <v>7.4172185430463573</v>
      </c>
      <c r="K11" s="6">
        <f t="shared" si="1"/>
        <v>1.6754966887417218</v>
      </c>
      <c r="L11" s="6">
        <f t="shared" si="1"/>
        <v>2.6688741721854305</v>
      </c>
      <c r="M11" s="6">
        <f t="shared" si="1"/>
        <v>1.5960264900662251</v>
      </c>
      <c r="N11" s="6">
        <f t="shared" si="1"/>
        <v>208.59602649006624</v>
      </c>
      <c r="O11" s="22"/>
    </row>
    <row r="14" spans="1:19" x14ac:dyDescent="0.25">
      <c r="P14" s="12"/>
      <c r="Q14" s="12"/>
    </row>
  </sheetData>
  <mergeCells count="17">
    <mergeCell ref="O10:O11"/>
    <mergeCell ref="A1:O1"/>
    <mergeCell ref="A2:O2"/>
    <mergeCell ref="A3:A4"/>
    <mergeCell ref="B3:C3"/>
    <mergeCell ref="D3:D4"/>
    <mergeCell ref="E3:E4"/>
    <mergeCell ref="F3:F4"/>
    <mergeCell ref="G3:G4"/>
    <mergeCell ref="H3:H4"/>
    <mergeCell ref="O3:O4"/>
    <mergeCell ref="I3:I4"/>
    <mergeCell ref="J3:J4"/>
    <mergeCell ref="K3:K4"/>
    <mergeCell ref="L3:L4"/>
    <mergeCell ref="M3:M4"/>
    <mergeCell ref="N3:N4"/>
  </mergeCells>
  <phoneticPr fontId="1" type="noConversion"/>
  <printOptions horizontalCentered="1"/>
  <pageMargins left="0.31496062992125984" right="0" top="0.25" bottom="0.43307086614173229" header="0.19685039370078741" footer="0.51181102362204722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D5" sqref="D5"/>
    </sheetView>
  </sheetViews>
  <sheetFormatPr defaultRowHeight="15.75" x14ac:dyDescent="0.25"/>
  <cols>
    <col min="1" max="1" width="17.5703125" style="21" customWidth="1"/>
    <col min="2" max="256" width="17.5703125" style="2" customWidth="1"/>
    <col min="257" max="16384" width="9.140625" style="2"/>
  </cols>
  <sheetData>
    <row r="1" spans="1:18" ht="32.2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9"/>
      <c r="P1" s="19"/>
      <c r="Q1" s="19"/>
      <c r="R1" s="19"/>
    </row>
    <row r="2" spans="1:18" ht="32.25" customHeight="1" x14ac:dyDescent="0.25">
      <c r="A2" s="16" t="s">
        <v>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9"/>
      <c r="P2" s="19"/>
      <c r="Q2" s="19"/>
      <c r="R2" s="19"/>
    </row>
    <row r="3" spans="1:18" ht="39" customHeight="1" x14ac:dyDescent="0.25">
      <c r="A3" s="29" t="s">
        <v>1</v>
      </c>
      <c r="B3" s="14" t="s">
        <v>2</v>
      </c>
      <c r="C3" s="14" t="s">
        <v>40</v>
      </c>
      <c r="D3" s="14" t="s">
        <v>3</v>
      </c>
      <c r="E3" s="14" t="s">
        <v>37</v>
      </c>
      <c r="F3" s="14" t="s">
        <v>4</v>
      </c>
      <c r="G3" s="14" t="s">
        <v>5</v>
      </c>
      <c r="H3" s="14" t="s">
        <v>6</v>
      </c>
      <c r="I3" s="14" t="s">
        <v>31</v>
      </c>
      <c r="J3" s="14" t="s">
        <v>7</v>
      </c>
      <c r="K3" s="14" t="s">
        <v>33</v>
      </c>
      <c r="L3" s="14" t="s">
        <v>26</v>
      </c>
      <c r="M3" s="14" t="s">
        <v>17</v>
      </c>
      <c r="N3" s="14" t="s">
        <v>18</v>
      </c>
      <c r="O3" s="13"/>
      <c r="P3" s="23"/>
      <c r="Q3" s="13"/>
      <c r="R3" s="24"/>
    </row>
    <row r="4" spans="1:18" ht="48.75" customHeight="1" x14ac:dyDescent="0.25">
      <c r="A4" s="3" t="s">
        <v>12</v>
      </c>
      <c r="B4" s="9">
        <f>5976+9+21+26</f>
        <v>6032</v>
      </c>
      <c r="C4" s="9">
        <v>1637</v>
      </c>
      <c r="D4" s="9">
        <f>3791+3</f>
        <v>3794</v>
      </c>
      <c r="E4" s="9">
        <f>2524+8</f>
        <v>2532</v>
      </c>
      <c r="F4" s="9">
        <v>2499</v>
      </c>
      <c r="G4" s="9">
        <v>2025</v>
      </c>
      <c r="H4" s="9">
        <v>780</v>
      </c>
      <c r="I4" s="9">
        <v>757</v>
      </c>
      <c r="J4" s="20">
        <v>547</v>
      </c>
      <c r="K4" s="20">
        <v>558</v>
      </c>
      <c r="L4" s="20">
        <v>538</v>
      </c>
      <c r="M4" s="5">
        <f t="shared" ref="M4:M8" si="0">SUM(B4:L4)</f>
        <v>21699</v>
      </c>
      <c r="N4" s="6">
        <f>M4/31</f>
        <v>699.9677419354839</v>
      </c>
      <c r="P4" s="12"/>
      <c r="R4" s="25"/>
    </row>
    <row r="5" spans="1:18" ht="48.75" customHeight="1" x14ac:dyDescent="0.25">
      <c r="A5" s="3" t="s">
        <v>9</v>
      </c>
      <c r="B5" s="9">
        <f>4933+40+10+17+10</f>
        <v>5010</v>
      </c>
      <c r="C5" s="9">
        <v>1492</v>
      </c>
      <c r="D5" s="9">
        <f>3458+15</f>
        <v>3473</v>
      </c>
      <c r="E5" s="9">
        <f>2297+4</f>
        <v>2301</v>
      </c>
      <c r="F5" s="9">
        <v>2404</v>
      </c>
      <c r="G5" s="9">
        <v>1959</v>
      </c>
      <c r="H5" s="9">
        <v>702</v>
      </c>
      <c r="I5" s="9">
        <v>686</v>
      </c>
      <c r="J5" s="20">
        <v>485</v>
      </c>
      <c r="K5" s="20">
        <v>507</v>
      </c>
      <c r="L5" s="20">
        <v>494</v>
      </c>
      <c r="M5" s="5">
        <f t="shared" si="0"/>
        <v>19513</v>
      </c>
      <c r="N5" s="6">
        <f>M5/28</f>
        <v>696.89285714285711</v>
      </c>
      <c r="P5" s="12"/>
      <c r="R5" s="25"/>
    </row>
    <row r="6" spans="1:18" ht="48.75" customHeight="1" x14ac:dyDescent="0.25">
      <c r="A6" s="3" t="s">
        <v>10</v>
      </c>
      <c r="B6" s="9">
        <f>5701+17+87</f>
        <v>5805</v>
      </c>
      <c r="C6" s="9">
        <v>1591</v>
      </c>
      <c r="D6" s="9">
        <f>4010+7</f>
        <v>4017</v>
      </c>
      <c r="E6" s="9">
        <f>2621+4</f>
        <v>2625</v>
      </c>
      <c r="F6" s="9">
        <v>2717</v>
      </c>
      <c r="G6" s="9">
        <v>2295</v>
      </c>
      <c r="H6" s="9">
        <v>759</v>
      </c>
      <c r="I6" s="9">
        <v>747</v>
      </c>
      <c r="J6" s="20">
        <v>516</v>
      </c>
      <c r="K6" s="20">
        <v>551</v>
      </c>
      <c r="L6" s="20">
        <v>506</v>
      </c>
      <c r="M6" s="5">
        <f t="shared" si="0"/>
        <v>22129</v>
      </c>
      <c r="N6" s="6">
        <f>M6/31</f>
        <v>713.83870967741939</v>
      </c>
      <c r="P6" s="12"/>
      <c r="R6" s="25"/>
    </row>
    <row r="7" spans="1:18" ht="48.75" customHeight="1" x14ac:dyDescent="0.25">
      <c r="A7" s="3" t="s">
        <v>11</v>
      </c>
      <c r="B7" s="9">
        <f>5384+39+23+36</f>
        <v>5482</v>
      </c>
      <c r="C7" s="9">
        <v>1603</v>
      </c>
      <c r="D7" s="9">
        <f>3940+1</f>
        <v>3941</v>
      </c>
      <c r="E7" s="9">
        <f>2491+4</f>
        <v>2495</v>
      </c>
      <c r="F7" s="9">
        <v>2460</v>
      </c>
      <c r="G7" s="9">
        <v>2142</v>
      </c>
      <c r="H7" s="9">
        <v>739</v>
      </c>
      <c r="I7" s="9">
        <v>747</v>
      </c>
      <c r="J7" s="20">
        <v>513</v>
      </c>
      <c r="K7" s="20">
        <v>529</v>
      </c>
      <c r="L7" s="20">
        <v>533</v>
      </c>
      <c r="M7" s="5">
        <f t="shared" si="0"/>
        <v>21184</v>
      </c>
      <c r="N7" s="6">
        <f>M7/30</f>
        <v>706.13333333333333</v>
      </c>
      <c r="P7" s="12"/>
      <c r="R7" s="25"/>
    </row>
    <row r="8" spans="1:18" ht="48.75" customHeight="1" x14ac:dyDescent="0.25">
      <c r="A8" s="3" t="s">
        <v>13</v>
      </c>
      <c r="B8" s="9">
        <f>5478+20+12+36</f>
        <v>5546</v>
      </c>
      <c r="C8" s="9">
        <v>1736</v>
      </c>
      <c r="D8" s="9">
        <f>4218+5</f>
        <v>4223</v>
      </c>
      <c r="E8" s="9">
        <f>2528+13</f>
        <v>2541</v>
      </c>
      <c r="F8" s="9">
        <v>2484</v>
      </c>
      <c r="G8" s="9">
        <v>2196</v>
      </c>
      <c r="H8" s="9">
        <v>766</v>
      </c>
      <c r="I8" s="9">
        <v>765</v>
      </c>
      <c r="J8" s="20">
        <v>518</v>
      </c>
      <c r="K8" s="20">
        <v>557</v>
      </c>
      <c r="L8" s="20">
        <v>546</v>
      </c>
      <c r="M8" s="5">
        <f t="shared" si="0"/>
        <v>21878</v>
      </c>
      <c r="N8" s="6">
        <f>M8/31</f>
        <v>705.74193548387098</v>
      </c>
      <c r="P8" s="12"/>
      <c r="R8" s="25"/>
    </row>
    <row r="9" spans="1:18" ht="48.75" customHeight="1" x14ac:dyDescent="0.25">
      <c r="A9" s="3" t="s">
        <v>8</v>
      </c>
      <c r="B9" s="5">
        <f>SUM(B4:B8)</f>
        <v>27875</v>
      </c>
      <c r="C9" s="5">
        <f>SUM(C4:C8)</f>
        <v>8059</v>
      </c>
      <c r="D9" s="5">
        <f>SUM(D4:D8)</f>
        <v>19448</v>
      </c>
      <c r="E9" s="5">
        <f>SUM(E4:E8)</f>
        <v>12494</v>
      </c>
      <c r="F9" s="5">
        <f>SUM(F4:F8)</f>
        <v>12564</v>
      </c>
      <c r="G9" s="5">
        <f>SUM(G4:G8)</f>
        <v>10617</v>
      </c>
      <c r="H9" s="5">
        <f>SUM(H4:H8)</f>
        <v>3746</v>
      </c>
      <c r="I9" s="5">
        <f>SUM(I4:I8)</f>
        <v>3702</v>
      </c>
      <c r="J9" s="5">
        <f>SUM(J4:J8)</f>
        <v>2579</v>
      </c>
      <c r="K9" s="5">
        <f>SUM(K4:K8)</f>
        <v>2702</v>
      </c>
      <c r="L9" s="5">
        <f>SUM(L4:L8)</f>
        <v>2617</v>
      </c>
      <c r="M9" s="5">
        <f>SUM(M4:M8)</f>
        <v>106403</v>
      </c>
      <c r="N9" s="22">
        <f>M9/151</f>
        <v>704.65562913907286</v>
      </c>
      <c r="R9" s="25"/>
    </row>
    <row r="10" spans="1:18" ht="48.75" customHeight="1" x14ac:dyDescent="0.25">
      <c r="A10" s="7" t="s">
        <v>29</v>
      </c>
      <c r="B10" s="6">
        <f>B9/151</f>
        <v>184.60264900662253</v>
      </c>
      <c r="C10" s="6">
        <f t="shared" ref="C10:M10" si="1">C9/151</f>
        <v>53.370860927152314</v>
      </c>
      <c r="D10" s="6">
        <f t="shared" si="1"/>
        <v>128.79470198675497</v>
      </c>
      <c r="E10" s="6">
        <f t="shared" si="1"/>
        <v>82.741721854304629</v>
      </c>
      <c r="F10" s="6">
        <f t="shared" si="1"/>
        <v>83.205298013245027</v>
      </c>
      <c r="G10" s="6">
        <f t="shared" si="1"/>
        <v>70.311258278145701</v>
      </c>
      <c r="H10" s="6">
        <f t="shared" si="1"/>
        <v>24.807947019867548</v>
      </c>
      <c r="I10" s="6">
        <f t="shared" si="1"/>
        <v>24.516556291390728</v>
      </c>
      <c r="J10" s="6">
        <f t="shared" si="1"/>
        <v>17.079470198675498</v>
      </c>
      <c r="K10" s="6">
        <f t="shared" si="1"/>
        <v>17.894039735099337</v>
      </c>
      <c r="L10" s="6">
        <f t="shared" si="1"/>
        <v>17.331125827814571</v>
      </c>
      <c r="M10" s="6">
        <f t="shared" si="1"/>
        <v>704.65562913907286</v>
      </c>
      <c r="N10" s="22"/>
      <c r="P10" s="12"/>
      <c r="R10" s="26"/>
    </row>
    <row r="11" spans="1:18" x14ac:dyDescent="0.25">
      <c r="R11" s="13"/>
    </row>
    <row r="12" spans="1:18" x14ac:dyDescent="0.25">
      <c r="A12" s="27"/>
      <c r="B12" s="28"/>
      <c r="C12" s="28"/>
      <c r="D12" s="28"/>
      <c r="E12" s="28"/>
      <c r="F12" s="28"/>
      <c r="G12" s="28"/>
      <c r="H12" s="28"/>
      <c r="I12" s="28"/>
      <c r="J12" s="12"/>
      <c r="K12" s="12"/>
      <c r="L12" s="28"/>
      <c r="R12" s="13"/>
    </row>
    <row r="13" spans="1:18" x14ac:dyDescent="0.25">
      <c r="R13" s="13"/>
    </row>
    <row r="14" spans="1:18" x14ac:dyDescent="0.25">
      <c r="A14" s="27"/>
      <c r="R14" s="13"/>
    </row>
    <row r="15" spans="1:18" x14ac:dyDescent="0.25">
      <c r="A15" s="27"/>
      <c r="R15" s="13"/>
    </row>
    <row r="16" spans="1:18" x14ac:dyDescent="0.25">
      <c r="R16" s="13"/>
    </row>
  </sheetData>
  <mergeCells count="3">
    <mergeCell ref="N9:N10"/>
    <mergeCell ref="A1:N1"/>
    <mergeCell ref="A2:N2"/>
  </mergeCells>
  <phoneticPr fontId="1" type="noConversion"/>
  <printOptions horizontalCentered="1"/>
  <pageMargins left="0.27559055118110237" right="0" top="0.25" bottom="0.98425196850393704" header="0.22" footer="0.51181102362204722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workbookViewId="0">
      <selection activeCell="I11" sqref="I11"/>
    </sheetView>
  </sheetViews>
  <sheetFormatPr defaultRowHeight="42.75" customHeight="1" x14ac:dyDescent="0.25"/>
  <cols>
    <col min="1" max="1" width="12" style="33" bestFit="1" customWidth="1"/>
    <col min="2" max="3" width="9.42578125" style="2" customWidth="1"/>
    <col min="4" max="5" width="11.42578125" style="2" customWidth="1"/>
    <col min="6" max="18" width="9.42578125" style="2" customWidth="1"/>
    <col min="19" max="22" width="15.7109375" style="2" customWidth="1"/>
    <col min="23" max="23" width="8" style="2" bestFit="1" customWidth="1"/>
    <col min="24" max="24" width="3" style="2" bestFit="1" customWidth="1"/>
    <col min="25" max="16384" width="9.140625" style="2"/>
  </cols>
  <sheetData>
    <row r="1" spans="1:22" ht="42.7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42.75" customHeight="1" x14ac:dyDescent="0.25">
      <c r="A2" s="16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42.75" customHeight="1" x14ac:dyDescent="0.25">
      <c r="A3" s="16" t="s">
        <v>1</v>
      </c>
      <c r="B3" s="17" t="s">
        <v>3</v>
      </c>
      <c r="C3" s="17"/>
      <c r="D3" s="17" t="s">
        <v>16</v>
      </c>
      <c r="E3" s="17"/>
      <c r="F3" s="16" t="s">
        <v>5</v>
      </c>
      <c r="G3" s="16"/>
      <c r="H3" s="17" t="s">
        <v>34</v>
      </c>
      <c r="I3" s="17"/>
      <c r="J3" s="17" t="s">
        <v>30</v>
      </c>
      <c r="K3" s="17"/>
      <c r="L3" s="17" t="s">
        <v>6</v>
      </c>
      <c r="M3" s="17"/>
      <c r="N3" s="17" t="s">
        <v>40</v>
      </c>
      <c r="O3" s="17"/>
      <c r="P3" s="14" t="s">
        <v>41</v>
      </c>
      <c r="Q3" s="17" t="s">
        <v>32</v>
      </c>
      <c r="R3" s="17"/>
      <c r="S3" s="17" t="s">
        <v>19</v>
      </c>
      <c r="T3" s="17" t="s">
        <v>21</v>
      </c>
      <c r="U3" s="17" t="s">
        <v>20</v>
      </c>
      <c r="V3" s="17" t="s">
        <v>22</v>
      </c>
    </row>
    <row r="4" spans="1:22" ht="42.75" customHeight="1" x14ac:dyDescent="0.25">
      <c r="A4" s="16"/>
      <c r="B4" s="14" t="s">
        <v>14</v>
      </c>
      <c r="C4" s="14" t="s">
        <v>15</v>
      </c>
      <c r="D4" s="14" t="s">
        <v>14</v>
      </c>
      <c r="E4" s="14" t="s">
        <v>15</v>
      </c>
      <c r="F4" s="14" t="s">
        <v>14</v>
      </c>
      <c r="G4" s="14" t="s">
        <v>15</v>
      </c>
      <c r="H4" s="14" t="s">
        <v>14</v>
      </c>
      <c r="I4" s="14" t="s">
        <v>15</v>
      </c>
      <c r="J4" s="14" t="s">
        <v>14</v>
      </c>
      <c r="K4" s="14" t="s">
        <v>15</v>
      </c>
      <c r="L4" s="14" t="s">
        <v>14</v>
      </c>
      <c r="M4" s="14" t="s">
        <v>15</v>
      </c>
      <c r="N4" s="14" t="s">
        <v>14</v>
      </c>
      <c r="O4" s="14" t="s">
        <v>15</v>
      </c>
      <c r="P4" s="14" t="s">
        <v>14</v>
      </c>
      <c r="Q4" s="14" t="s">
        <v>14</v>
      </c>
      <c r="R4" s="14" t="s">
        <v>15</v>
      </c>
      <c r="S4" s="17"/>
      <c r="T4" s="17"/>
      <c r="U4" s="17"/>
      <c r="V4" s="17"/>
    </row>
    <row r="5" spans="1:22" ht="42.75" customHeight="1" x14ac:dyDescent="0.25">
      <c r="A5" s="7" t="s">
        <v>12</v>
      </c>
      <c r="B5" s="9">
        <v>262</v>
      </c>
      <c r="C5" s="9">
        <v>1854</v>
      </c>
      <c r="D5" s="9">
        <v>111</v>
      </c>
      <c r="E5" s="9">
        <v>308</v>
      </c>
      <c r="F5" s="9">
        <v>160</v>
      </c>
      <c r="G5" s="9">
        <v>1079</v>
      </c>
      <c r="H5" s="9">
        <v>93</v>
      </c>
      <c r="I5" s="9">
        <v>233</v>
      </c>
      <c r="J5" s="9">
        <v>138</v>
      </c>
      <c r="K5" s="9">
        <v>228</v>
      </c>
      <c r="L5" s="9">
        <v>127</v>
      </c>
      <c r="M5" s="9">
        <v>396</v>
      </c>
      <c r="N5" s="9">
        <v>64</v>
      </c>
      <c r="O5" s="9">
        <v>906</v>
      </c>
      <c r="P5" s="9">
        <v>202</v>
      </c>
      <c r="Q5" s="9"/>
      <c r="R5" s="9">
        <v>56</v>
      </c>
      <c r="S5" s="5">
        <f>B5+D5+F5+H5+J5+L5+Q5+N5+P5</f>
        <v>1157</v>
      </c>
      <c r="T5" s="6">
        <f>S5/26</f>
        <v>44.5</v>
      </c>
      <c r="U5" s="5">
        <f>C5+E5+G5+K5+M5+R5+I5+O5</f>
        <v>5060</v>
      </c>
      <c r="V5" s="6">
        <f>U5/26</f>
        <v>194.61538461538461</v>
      </c>
    </row>
    <row r="6" spans="1:22" ht="42.75" customHeight="1" x14ac:dyDescent="0.25">
      <c r="A6" s="7" t="s">
        <v>9</v>
      </c>
      <c r="B6" s="9">
        <v>232</v>
      </c>
      <c r="C6" s="9">
        <v>1657</v>
      </c>
      <c r="D6" s="9">
        <v>116</v>
      </c>
      <c r="E6" s="9">
        <v>285</v>
      </c>
      <c r="F6" s="9">
        <v>140</v>
      </c>
      <c r="G6" s="9">
        <v>1052</v>
      </c>
      <c r="H6" s="9">
        <v>64</v>
      </c>
      <c r="I6" s="9">
        <v>217</v>
      </c>
      <c r="J6" s="9">
        <v>121</v>
      </c>
      <c r="K6" s="9">
        <v>195</v>
      </c>
      <c r="L6" s="9">
        <v>109</v>
      </c>
      <c r="M6" s="9">
        <v>314</v>
      </c>
      <c r="N6" s="9">
        <v>62</v>
      </c>
      <c r="O6" s="9">
        <v>803</v>
      </c>
      <c r="P6" s="9">
        <v>202</v>
      </c>
      <c r="Q6" s="9"/>
      <c r="R6" s="9">
        <v>26</v>
      </c>
      <c r="S6" s="5">
        <f t="shared" ref="S6:S9" si="0">B6+D6+F6+H6+J6+L6+Q6+N6+P6</f>
        <v>1046</v>
      </c>
      <c r="T6" s="6">
        <f>S6/24</f>
        <v>43.583333333333336</v>
      </c>
      <c r="U6" s="5">
        <f t="shared" ref="U6:U9" si="1">C6+E6+G6+K6+M6+R6+I6+O6</f>
        <v>4549</v>
      </c>
      <c r="V6" s="6">
        <f>U6/24</f>
        <v>189.54166666666666</v>
      </c>
    </row>
    <row r="7" spans="1:22" ht="42.75" customHeight="1" x14ac:dyDescent="0.25">
      <c r="A7" s="7" t="s">
        <v>10</v>
      </c>
      <c r="B7" s="9">
        <v>247</v>
      </c>
      <c r="C7" s="9">
        <v>1908</v>
      </c>
      <c r="D7" s="9">
        <v>117</v>
      </c>
      <c r="E7" s="9">
        <v>296</v>
      </c>
      <c r="F7" s="9">
        <v>165</v>
      </c>
      <c r="G7" s="9">
        <v>1078</v>
      </c>
      <c r="H7" s="9">
        <v>24</v>
      </c>
      <c r="I7" s="9">
        <v>243</v>
      </c>
      <c r="J7" s="9">
        <v>127</v>
      </c>
      <c r="K7" s="9">
        <v>226</v>
      </c>
      <c r="L7" s="9">
        <v>103</v>
      </c>
      <c r="M7" s="9">
        <v>330</v>
      </c>
      <c r="N7" s="9">
        <v>48</v>
      </c>
      <c r="O7" s="9">
        <v>844</v>
      </c>
      <c r="P7" s="9">
        <v>201</v>
      </c>
      <c r="Q7" s="9"/>
      <c r="R7" s="9">
        <v>41</v>
      </c>
      <c r="S7" s="5">
        <f t="shared" si="0"/>
        <v>1032</v>
      </c>
      <c r="T7" s="6">
        <f>S7/25</f>
        <v>41.28</v>
      </c>
      <c r="U7" s="5">
        <f t="shared" si="1"/>
        <v>4966</v>
      </c>
      <c r="V7" s="6">
        <f>U7/25</f>
        <v>198.64</v>
      </c>
    </row>
    <row r="8" spans="1:22" ht="42.75" customHeight="1" x14ac:dyDescent="0.25">
      <c r="A8" s="7" t="s">
        <v>11</v>
      </c>
      <c r="B8" s="9">
        <v>294</v>
      </c>
      <c r="C8" s="9">
        <v>1867</v>
      </c>
      <c r="D8" s="9">
        <v>102</v>
      </c>
      <c r="E8" s="9">
        <v>322</v>
      </c>
      <c r="F8" s="9">
        <v>156</v>
      </c>
      <c r="G8" s="9">
        <v>1198</v>
      </c>
      <c r="H8" s="9">
        <v>29</v>
      </c>
      <c r="I8" s="9">
        <v>299</v>
      </c>
      <c r="J8" s="9">
        <v>130</v>
      </c>
      <c r="K8" s="9">
        <v>243</v>
      </c>
      <c r="L8" s="9">
        <v>106</v>
      </c>
      <c r="M8" s="9">
        <v>343</v>
      </c>
      <c r="N8" s="9">
        <v>51</v>
      </c>
      <c r="O8" s="9">
        <v>823</v>
      </c>
      <c r="P8" s="9">
        <v>187</v>
      </c>
      <c r="Q8" s="9"/>
      <c r="R8" s="9">
        <v>51</v>
      </c>
      <c r="S8" s="5">
        <f t="shared" si="0"/>
        <v>1055</v>
      </c>
      <c r="T8" s="6">
        <f>S8/26</f>
        <v>40.57692307692308</v>
      </c>
      <c r="U8" s="5">
        <f t="shared" si="1"/>
        <v>5146</v>
      </c>
      <c r="V8" s="6">
        <f>U8/26</f>
        <v>197.92307692307693</v>
      </c>
    </row>
    <row r="9" spans="1:22" ht="42.75" customHeight="1" x14ac:dyDescent="0.25">
      <c r="A9" s="7" t="s">
        <v>13</v>
      </c>
      <c r="B9" s="9">
        <v>353</v>
      </c>
      <c r="C9" s="9">
        <v>1828</v>
      </c>
      <c r="D9" s="9">
        <v>115</v>
      </c>
      <c r="E9" s="9">
        <v>324</v>
      </c>
      <c r="F9" s="9">
        <v>184</v>
      </c>
      <c r="G9" s="9">
        <v>1228</v>
      </c>
      <c r="H9" s="9">
        <v>52</v>
      </c>
      <c r="I9" s="9">
        <v>254</v>
      </c>
      <c r="J9" s="9">
        <v>139</v>
      </c>
      <c r="K9" s="9">
        <v>296</v>
      </c>
      <c r="L9" s="9">
        <v>114</v>
      </c>
      <c r="M9" s="9">
        <v>356</v>
      </c>
      <c r="N9" s="9">
        <v>88</v>
      </c>
      <c r="O9" s="9">
        <v>988</v>
      </c>
      <c r="P9" s="9">
        <v>181</v>
      </c>
      <c r="Q9" s="9"/>
      <c r="R9" s="9">
        <v>88</v>
      </c>
      <c r="S9" s="5">
        <f t="shared" si="0"/>
        <v>1226</v>
      </c>
      <c r="T9" s="6">
        <f>S9/27</f>
        <v>45.407407407407405</v>
      </c>
      <c r="U9" s="5">
        <f t="shared" si="1"/>
        <v>5362</v>
      </c>
      <c r="V9" s="6">
        <f>U9/27</f>
        <v>198.59259259259258</v>
      </c>
    </row>
    <row r="10" spans="1:22" ht="42.75" customHeight="1" x14ac:dyDescent="0.25">
      <c r="A10" s="7" t="s">
        <v>8</v>
      </c>
      <c r="B10" s="5">
        <f>SUM(B5:B9)</f>
        <v>1388</v>
      </c>
      <c r="C10" s="5">
        <f>SUM(C5:C9)</f>
        <v>9114</v>
      </c>
      <c r="D10" s="5">
        <f>SUM(D5:D9)</f>
        <v>561</v>
      </c>
      <c r="E10" s="5">
        <f>SUM(E5:E9)</f>
        <v>1535</v>
      </c>
      <c r="F10" s="5">
        <f>SUM(F5:F9)</f>
        <v>805</v>
      </c>
      <c r="G10" s="5">
        <f>SUM(G5:G9)</f>
        <v>5635</v>
      </c>
      <c r="H10" s="5">
        <f>SUM(H5:H9)</f>
        <v>262</v>
      </c>
      <c r="I10" s="5">
        <f>SUM(I5:I9)</f>
        <v>1246</v>
      </c>
      <c r="J10" s="5">
        <f>SUM(J5:J9)</f>
        <v>655</v>
      </c>
      <c r="K10" s="5">
        <f>SUM(K5:K9)</f>
        <v>1188</v>
      </c>
      <c r="L10" s="5">
        <f>SUM(L5:L9)</f>
        <v>559</v>
      </c>
      <c r="M10" s="5">
        <f>SUM(M5:M9)</f>
        <v>1739</v>
      </c>
      <c r="N10" s="5">
        <f>SUM(N5:N9)</f>
        <v>313</v>
      </c>
      <c r="O10" s="5">
        <f>SUM(O5:O9)</f>
        <v>4364</v>
      </c>
      <c r="P10" s="5">
        <f>SUM(P5:P9)</f>
        <v>973</v>
      </c>
      <c r="Q10" s="5">
        <f>SUM(Q5:Q9)</f>
        <v>0</v>
      </c>
      <c r="R10" s="5">
        <f>SUM(R5:R9)</f>
        <v>262</v>
      </c>
      <c r="S10" s="5">
        <f>SUM(S5:S9)</f>
        <v>5516</v>
      </c>
      <c r="T10" s="30">
        <f>S10/128</f>
        <v>43.09375</v>
      </c>
      <c r="U10" s="5">
        <f>SUM(U5:U9)</f>
        <v>25083</v>
      </c>
      <c r="V10" s="30">
        <f>U10/128</f>
        <v>195.9609375</v>
      </c>
    </row>
    <row r="11" spans="1:22" ht="42.75" customHeight="1" x14ac:dyDescent="0.25">
      <c r="A11" s="31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32"/>
      <c r="U11" s="25"/>
      <c r="V11" s="32"/>
    </row>
    <row r="12" spans="1:22" ht="42.75" customHeight="1" x14ac:dyDescent="0.25">
      <c r="A12" s="24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4" spans="1:22" ht="42.75" customHeight="1" x14ac:dyDescent="0.25">
      <c r="G14" s="26"/>
      <c r="M14" s="26"/>
      <c r="N14" s="26"/>
      <c r="O14" s="26"/>
      <c r="P14" s="26"/>
      <c r="Q14" s="26"/>
      <c r="R14" s="26"/>
    </row>
    <row r="15" spans="1:22" ht="42.75" customHeight="1" x14ac:dyDescent="0.25">
      <c r="E15" s="26"/>
      <c r="G15" s="26"/>
      <c r="M15" s="26"/>
      <c r="N15" s="26"/>
      <c r="O15" s="26"/>
      <c r="P15" s="26"/>
      <c r="Q15" s="26"/>
      <c r="R15" s="26"/>
    </row>
    <row r="16" spans="1:22" ht="42.75" customHeight="1" x14ac:dyDescent="0.25">
      <c r="E16" s="26"/>
      <c r="G16" s="26"/>
      <c r="M16" s="26"/>
      <c r="N16" s="26"/>
      <c r="O16" s="26"/>
      <c r="P16" s="26"/>
      <c r="Q16" s="26"/>
      <c r="R16" s="26"/>
    </row>
    <row r="17" spans="5:18" ht="42.75" customHeight="1" x14ac:dyDescent="0.25">
      <c r="E17" s="26"/>
      <c r="G17" s="26"/>
      <c r="M17" s="26"/>
      <c r="N17" s="26"/>
      <c r="O17" s="26"/>
      <c r="P17" s="26"/>
      <c r="Q17" s="26"/>
      <c r="R17" s="26"/>
    </row>
    <row r="18" spans="5:18" ht="42.75" customHeight="1" x14ac:dyDescent="0.25">
      <c r="E18" s="26"/>
      <c r="G18" s="26"/>
      <c r="M18" s="26"/>
      <c r="N18" s="26"/>
      <c r="O18" s="26"/>
      <c r="P18" s="26"/>
      <c r="Q18" s="26"/>
      <c r="R18" s="26"/>
    </row>
    <row r="19" spans="5:18" ht="42.75" customHeight="1" x14ac:dyDescent="0.25">
      <c r="E19" s="26"/>
      <c r="G19" s="26"/>
      <c r="M19" s="26"/>
      <c r="N19" s="26"/>
      <c r="O19" s="26"/>
      <c r="P19" s="26"/>
      <c r="Q19" s="26"/>
      <c r="R19" s="26"/>
    </row>
    <row r="20" spans="5:18" ht="42.75" customHeight="1" x14ac:dyDescent="0.25">
      <c r="E20" s="26"/>
      <c r="G20" s="26"/>
      <c r="M20" s="26"/>
      <c r="N20" s="26"/>
      <c r="O20" s="26"/>
      <c r="P20" s="26"/>
      <c r="Q20" s="26"/>
      <c r="R20" s="26"/>
    </row>
    <row r="21" spans="5:18" ht="42.75" customHeight="1" x14ac:dyDescent="0.25">
      <c r="E21" s="26"/>
      <c r="G21" s="26"/>
      <c r="M21" s="26"/>
      <c r="N21" s="26"/>
      <c r="O21" s="26"/>
      <c r="P21" s="26"/>
      <c r="Q21" s="26"/>
      <c r="R21" s="26"/>
    </row>
    <row r="22" spans="5:18" ht="42.75" customHeight="1" x14ac:dyDescent="0.25">
      <c r="E22" s="26"/>
      <c r="M22" s="26"/>
      <c r="N22" s="26"/>
      <c r="O22" s="26"/>
      <c r="P22" s="26"/>
      <c r="Q22" s="26"/>
      <c r="R22" s="26"/>
    </row>
    <row r="23" spans="5:18" ht="42.75" customHeight="1" x14ac:dyDescent="0.25">
      <c r="M23" s="26"/>
      <c r="N23" s="26"/>
      <c r="O23" s="26"/>
      <c r="P23" s="26"/>
      <c r="Q23" s="26"/>
      <c r="R23" s="26"/>
    </row>
  </sheetData>
  <mergeCells count="15">
    <mergeCell ref="J3:K3"/>
    <mergeCell ref="L3:M3"/>
    <mergeCell ref="Q3:R3"/>
    <mergeCell ref="N3:O3"/>
    <mergeCell ref="T3:T4"/>
    <mergeCell ref="A1:V1"/>
    <mergeCell ref="A2:V2"/>
    <mergeCell ref="U3:U4"/>
    <mergeCell ref="V3:V4"/>
    <mergeCell ref="S3:S4"/>
    <mergeCell ref="B3:C3"/>
    <mergeCell ref="H3:I3"/>
    <mergeCell ref="D3:E3"/>
    <mergeCell ref="A3:A4"/>
    <mergeCell ref="F3:G3"/>
  </mergeCells>
  <phoneticPr fontId="1" type="noConversion"/>
  <printOptions horizontalCentered="1"/>
  <pageMargins left="0.16" right="0.16" top="0.71" bottom="0.98425196850393704" header="0.19685039370078741" footer="0.51181102362204722"/>
  <pageSetup paperSize="9" scale="8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4" sqref="B14"/>
    </sheetView>
  </sheetViews>
  <sheetFormatPr defaultRowHeight="31.5" customHeight="1" x14ac:dyDescent="0.25"/>
  <cols>
    <col min="1" max="1" width="23.28515625" style="33" customWidth="1"/>
    <col min="2" max="256" width="23.28515625" style="2" customWidth="1"/>
    <col min="257" max="16384" width="9.140625" style="2"/>
  </cols>
  <sheetData>
    <row r="1" spans="1:5" ht="31.5" customHeight="1" x14ac:dyDescent="0.25">
      <c r="A1" s="16" t="s">
        <v>0</v>
      </c>
      <c r="B1" s="16"/>
      <c r="C1" s="16"/>
      <c r="D1" s="16"/>
      <c r="E1" s="16"/>
    </row>
    <row r="2" spans="1:5" ht="31.5" customHeight="1" x14ac:dyDescent="0.25">
      <c r="A2" s="16" t="s">
        <v>45</v>
      </c>
      <c r="B2" s="16"/>
      <c r="C2" s="16"/>
      <c r="D2" s="16"/>
      <c r="E2" s="16"/>
    </row>
    <row r="3" spans="1:5" ht="31.5" customHeight="1" x14ac:dyDescent="0.25">
      <c r="A3" s="16" t="s">
        <v>1</v>
      </c>
      <c r="B3" s="17" t="s">
        <v>23</v>
      </c>
      <c r="C3" s="16" t="s">
        <v>24</v>
      </c>
      <c r="D3" s="17" t="s">
        <v>17</v>
      </c>
      <c r="E3" s="17" t="s">
        <v>25</v>
      </c>
    </row>
    <row r="4" spans="1:5" ht="31.5" customHeight="1" x14ac:dyDescent="0.25">
      <c r="A4" s="16"/>
      <c r="B4" s="17"/>
      <c r="C4" s="16"/>
      <c r="D4" s="17"/>
      <c r="E4" s="17"/>
    </row>
    <row r="5" spans="1:5" ht="31.5" customHeight="1" x14ac:dyDescent="0.25">
      <c r="A5" s="7" t="s">
        <v>12</v>
      </c>
      <c r="B5" s="9">
        <v>152</v>
      </c>
      <c r="C5" s="9">
        <v>93</v>
      </c>
      <c r="D5" s="5">
        <f>SUM(B5:C5)</f>
        <v>245</v>
      </c>
      <c r="E5" s="6">
        <f>D5/31</f>
        <v>7.903225806451613</v>
      </c>
    </row>
    <row r="6" spans="1:5" ht="31.5" customHeight="1" x14ac:dyDescent="0.25">
      <c r="A6" s="7" t="s">
        <v>9</v>
      </c>
      <c r="B6" s="9">
        <v>103</v>
      </c>
      <c r="C6" s="9">
        <v>64</v>
      </c>
      <c r="D6" s="5">
        <f t="shared" ref="D6:D9" si="0">SUM(B6:C6)</f>
        <v>167</v>
      </c>
      <c r="E6" s="6">
        <f>D6/28</f>
        <v>5.9642857142857144</v>
      </c>
    </row>
    <row r="7" spans="1:5" ht="31.5" customHeight="1" x14ac:dyDescent="0.25">
      <c r="A7" s="7" t="s">
        <v>10</v>
      </c>
      <c r="B7" s="9">
        <v>84</v>
      </c>
      <c r="C7" s="9">
        <v>47</v>
      </c>
      <c r="D7" s="5">
        <f t="shared" si="0"/>
        <v>131</v>
      </c>
      <c r="E7" s="6">
        <f>D7/31</f>
        <v>4.225806451612903</v>
      </c>
    </row>
    <row r="8" spans="1:5" ht="31.5" customHeight="1" x14ac:dyDescent="0.25">
      <c r="A8" s="7" t="s">
        <v>11</v>
      </c>
      <c r="B8" s="9">
        <v>81</v>
      </c>
      <c r="C8" s="9">
        <v>63</v>
      </c>
      <c r="D8" s="5">
        <f t="shared" si="0"/>
        <v>144</v>
      </c>
      <c r="E8" s="6">
        <f>D8/30</f>
        <v>4.8</v>
      </c>
    </row>
    <row r="9" spans="1:5" ht="31.5" customHeight="1" x14ac:dyDescent="0.25">
      <c r="A9" s="7" t="s">
        <v>13</v>
      </c>
      <c r="B9" s="9">
        <v>95</v>
      </c>
      <c r="C9" s="9">
        <v>78</v>
      </c>
      <c r="D9" s="5">
        <f t="shared" si="0"/>
        <v>173</v>
      </c>
      <c r="E9" s="6">
        <f>D9/31</f>
        <v>5.580645161290323</v>
      </c>
    </row>
    <row r="10" spans="1:5" ht="31.5" customHeight="1" x14ac:dyDescent="0.25">
      <c r="A10" s="7" t="s">
        <v>8</v>
      </c>
      <c r="B10" s="5">
        <f>SUM(B5:B9)</f>
        <v>515</v>
      </c>
      <c r="C10" s="5">
        <f>SUM(C5:C9)</f>
        <v>345</v>
      </c>
      <c r="D10" s="5">
        <f>SUM(D5:D9)</f>
        <v>860</v>
      </c>
      <c r="E10" s="30">
        <f>D10/151</f>
        <v>5.6953642384105958</v>
      </c>
    </row>
    <row r="11" spans="1:5" ht="31.5" customHeight="1" x14ac:dyDescent="0.25">
      <c r="A11" s="24"/>
      <c r="B11" s="34"/>
      <c r="C11" s="34"/>
    </row>
    <row r="12" spans="1:5" ht="31.5" customHeight="1" x14ac:dyDescent="0.25">
      <c r="A12" s="24"/>
      <c r="B12" s="35"/>
      <c r="C12" s="35"/>
      <c r="D12" s="35"/>
    </row>
    <row r="13" spans="1:5" ht="31.5" customHeight="1" x14ac:dyDescent="0.25">
      <c r="A13" s="24"/>
      <c r="B13" s="13"/>
      <c r="C13" s="13"/>
    </row>
    <row r="14" spans="1:5" ht="31.5" customHeight="1" x14ac:dyDescent="0.25">
      <c r="A14" s="24"/>
      <c r="B14" s="13"/>
      <c r="C14" s="13"/>
    </row>
    <row r="15" spans="1:5" ht="31.5" customHeight="1" x14ac:dyDescent="0.25">
      <c r="A15" s="24"/>
      <c r="B15" s="13"/>
      <c r="C15" s="13"/>
    </row>
    <row r="16" spans="1:5" ht="31.5" customHeight="1" x14ac:dyDescent="0.25">
      <c r="A16" s="24"/>
      <c r="B16" s="13"/>
      <c r="C16" s="13"/>
    </row>
    <row r="17" spans="1:3" ht="31.5" customHeight="1" x14ac:dyDescent="0.25">
      <c r="A17" s="36"/>
      <c r="B17" s="37"/>
      <c r="C17" s="37"/>
    </row>
  </sheetData>
  <mergeCells count="7">
    <mergeCell ref="A1:E1"/>
    <mergeCell ref="A2:E2"/>
    <mergeCell ref="E3:E4"/>
    <mergeCell ref="A3:A4"/>
    <mergeCell ref="B3:B4"/>
    <mergeCell ref="C3:C4"/>
    <mergeCell ref="D3:D4"/>
  </mergeCells>
  <phoneticPr fontId="1" type="noConversion"/>
  <printOptions horizontalCentered="1"/>
  <pageMargins left="0.24" right="0.22" top="0.7" bottom="0.2" header="8.07" footer="0.2"/>
  <pageSetup paperSize="9" scale="9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OPD</vt:lpstr>
      <vt:lpstr>IPD ADMISSION</vt:lpstr>
      <vt:lpstr>OCCUPANCY</vt:lpstr>
      <vt:lpstr>OPERATIVE RECORD</vt:lpstr>
      <vt:lpstr>Delivery Report</vt:lpstr>
      <vt:lpstr>'Delivery Report'!Print_Area</vt:lpstr>
      <vt:lpstr>'IPD ADMISSION'!Print_Area</vt:lpstr>
      <vt:lpstr>OCCUPANCY!Print_Area</vt:lpstr>
      <vt:lpstr>'OPERATIVE RECORD'!Print_Area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NARENDRA JASHWANTBHAI MALI</dc:creator>
  <cp:lastModifiedBy>Mr. NARENDRA JASHWANTBHAI MALI</cp:lastModifiedBy>
  <cp:lastPrinted>2025-06-14T10:16:09Z</cp:lastPrinted>
  <dcterms:created xsi:type="dcterms:W3CDTF">1996-10-14T23:33:28Z</dcterms:created>
  <dcterms:modified xsi:type="dcterms:W3CDTF">2025-06-14T10:17:06Z</dcterms:modified>
</cp:coreProperties>
</file>